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1435" yWindow="15" windowWidth="21075" windowHeight="9735" activeTab="0"/>
  </bookViews>
  <sheets>
    <sheet name="Aug13(Changes)Dec Billing" sheetId="9" r:id="rId1"/>
  </sheets>
  <definedNames>
    <definedName name="_xlnm.Print_Area" localSheetId="0">'Aug13(Changes)Dec Billing'!$A$1:$N$71</definedName>
  </definedNames>
  <calcPr calcId="144525"/>
</workbook>
</file>

<file path=xl/sharedStrings.xml><?xml version="1.0" encoding="utf-8"?>
<sst xmlns="http://schemas.openxmlformats.org/spreadsheetml/2006/main" count="92" uniqueCount="63">
  <si>
    <t>Generation (net)</t>
  </si>
  <si>
    <t>Fixed Costs, $</t>
  </si>
  <si>
    <t>Non-Labor O&amp;M ($)</t>
  </si>
  <si>
    <t>Plant Labor ($)</t>
  </si>
  <si>
    <t>G&amp;A Labor ($)</t>
  </si>
  <si>
    <t>Property Tax &amp; Insurance ($)</t>
  </si>
  <si>
    <t>Total Fixed Costs, $</t>
  </si>
  <si>
    <t>Total Fixed Costs, $/MWh</t>
  </si>
  <si>
    <t>Variable Costs</t>
  </si>
  <si>
    <t>Fuel Burn (tons)</t>
  </si>
  <si>
    <t>Fuel Cost ($)</t>
  </si>
  <si>
    <t>Fuel Cost ($/MWh)</t>
  </si>
  <si>
    <t>Fuel ($/MMBtu)</t>
  </si>
  <si>
    <t>Natural Gas ($)</t>
  </si>
  <si>
    <t>Natural Gas ($/MWh)</t>
  </si>
  <si>
    <t>Non Fuel VOM Cost ($)</t>
  </si>
  <si>
    <t>Non Fuel VOM Cost ($/MWh)</t>
  </si>
  <si>
    <t>Emission Cost ($)</t>
  </si>
  <si>
    <t>Emission Cost ($/MWh)</t>
  </si>
  <si>
    <t>Total Variable Cost, $</t>
  </si>
  <si>
    <t>Total Variable Cost, $/MWh</t>
  </si>
  <si>
    <t>Fuel Inventory, $</t>
  </si>
  <si>
    <t>Materials and Supplies Inventory, $</t>
  </si>
  <si>
    <t>Capital ($)</t>
  </si>
  <si>
    <t>Total Inventory &amp; Capital, $</t>
  </si>
  <si>
    <t>Return on Net Rate Base, %</t>
  </si>
  <si>
    <t>Return on Net Rate Base, $</t>
  </si>
  <si>
    <t>Actuals</t>
  </si>
  <si>
    <t>08/20 - 08/31</t>
  </si>
  <si>
    <t>Natural Gas MCF</t>
  </si>
  <si>
    <t>Limestone Reagent (tons)</t>
  </si>
  <si>
    <t>Limestone Reagent ($)</t>
  </si>
  <si>
    <t>Limestone Reagent ($/MWh)</t>
  </si>
  <si>
    <t>Cost Category</t>
  </si>
  <si>
    <t>Century Monthly Billing - SSR Costs</t>
  </si>
  <si>
    <t>August 20-31, 2013</t>
  </si>
  <si>
    <t>NRCO</t>
  </si>
  <si>
    <t>North American Transmission Forum</t>
  </si>
  <si>
    <t>N/A</t>
  </si>
  <si>
    <t>NERC/SERC</t>
  </si>
  <si>
    <t>Exhibit B</t>
  </si>
  <si>
    <t>NRECA</t>
  </si>
  <si>
    <t>PSC Assessment</t>
  </si>
  <si>
    <t>EPA Title V Permit Fees</t>
  </si>
  <si>
    <t>KAEC</t>
  </si>
  <si>
    <t>1/4 FTE</t>
  </si>
  <si>
    <t>Total Exhibit B Costs</t>
  </si>
  <si>
    <t>Reagent Inventory, $</t>
  </si>
  <si>
    <t>Total</t>
  </si>
  <si>
    <t>Will be billed to Century Jan-2014</t>
  </si>
  <si>
    <t>Will be billed to Century Jun-2014</t>
  </si>
  <si>
    <t>Capital Costs, $</t>
  </si>
  <si>
    <t>Total Capital Costs, $</t>
  </si>
  <si>
    <t>Total Capital Costs, $/MWh</t>
  </si>
  <si>
    <t>Adjustment to make</t>
  </si>
  <si>
    <t>to October 2013 Billing</t>
  </si>
  <si>
    <t>Credit due to Century on True-up changes</t>
  </si>
  <si>
    <t>Revised - #1</t>
  </si>
  <si>
    <t>to December 2013 Billing</t>
  </si>
  <si>
    <t xml:space="preserve">1  Additional capital costs of $263.80 hit the capital report after it was first run and it was not discovered until December.  Also, Capital project BP13C0168B Coleman </t>
  </si>
  <si>
    <t xml:space="preserve">FGD D-Recycle Pump did not qualify for capital and should have been expensed.  The full cost for August was $4,834.54 and the 12 day allocation was $ 1,871.44 and </t>
  </si>
  <si>
    <t>the net credit due Century is ($1,607.64) on capital</t>
  </si>
  <si>
    <t>Invoice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</si>
</sst>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left"/>
    </xf>
    <xf numFmtId="3" fontId="3" fillId="0" borderId="0" xfId="0" applyNumberFormat="1" applyFont="1"/>
    <xf numFmtId="0" fontId="2" fillId="2" borderId="0" xfId="0" applyFont="1" applyFill="1" applyAlignment="1">
      <alignment horizontal="left"/>
    </xf>
    <xf numFmtId="43" fontId="3" fillId="0" borderId="0" xfId="18" applyFont="1"/>
    <xf numFmtId="44" fontId="2" fillId="2" borderId="0" xfId="16" applyFont="1" applyFill="1"/>
    <xf numFmtId="164" fontId="3" fillId="0" borderId="0" xfId="0" applyNumberFormat="1" applyFont="1"/>
    <xf numFmtId="0" fontId="2" fillId="3" borderId="0" xfId="0" applyFont="1" applyFill="1" applyAlignment="1">
      <alignment horizontal="left"/>
    </xf>
    <xf numFmtId="4" fontId="3" fillId="0" borderId="0" xfId="0" applyNumberFormat="1" applyFont="1"/>
    <xf numFmtId="44" fontId="3" fillId="0" borderId="0" xfId="16" applyFont="1"/>
    <xf numFmtId="44" fontId="3" fillId="0" borderId="0" xfId="0" applyNumberFormat="1" applyFont="1"/>
    <xf numFmtId="0" fontId="2" fillId="0" borderId="0" xfId="0" applyFont="1"/>
    <xf numFmtId="43" fontId="2" fillId="3" borderId="0" xfId="18" applyFont="1" applyFill="1"/>
    <xf numFmtId="0" fontId="3" fillId="0" borderId="0" xfId="0" applyFont="1"/>
    <xf numFmtId="44" fontId="2" fillId="2" borderId="0" xfId="16" applyNumberFormat="1" applyFont="1" applyFill="1"/>
    <xf numFmtId="44" fontId="3" fillId="0" borderId="0" xfId="18" applyNumberFormat="1" applyFont="1"/>
    <xf numFmtId="43" fontId="3" fillId="0" borderId="1" xfId="18" applyFont="1" applyBorder="1"/>
    <xf numFmtId="0" fontId="2" fillId="3" borderId="0" xfId="0" applyFont="1" applyFill="1"/>
    <xf numFmtId="44" fontId="2" fillId="3" borderId="0" xfId="18" applyNumberFormat="1" applyFont="1" applyFill="1"/>
    <xf numFmtId="10" fontId="3" fillId="0" borderId="1" xfId="15" applyNumberFormat="1" applyFont="1" applyBorder="1"/>
    <xf numFmtId="44" fontId="2" fillId="0" borderId="0" xfId="0" applyNumberFormat="1" applyFont="1"/>
    <xf numFmtId="44" fontId="2" fillId="3" borderId="0" xfId="0" applyNumberFormat="1" applyFont="1" applyFill="1"/>
    <xf numFmtId="0" fontId="2" fillId="0" borderId="0" xfId="0" applyFont="1" applyFill="1"/>
    <xf numFmtId="44" fontId="2" fillId="0" borderId="0" xfId="0" applyNumberFormat="1" applyFont="1" applyFill="1"/>
    <xf numFmtId="44" fontId="2" fillId="0" borderId="1" xfId="0" applyNumberFormat="1" applyFont="1" applyBorder="1"/>
    <xf numFmtId="0" fontId="4" fillId="0" borderId="0" xfId="0" applyFont="1"/>
    <xf numFmtId="0" fontId="3" fillId="0" borderId="0" xfId="0" applyFont="1" applyAlignment="1" quotePrefix="1">
      <alignment horizontal="left"/>
    </xf>
    <xf numFmtId="44" fontId="3" fillId="4" borderId="0" xfId="18" applyNumberFormat="1" applyFont="1" applyFill="1"/>
    <xf numFmtId="4" fontId="3" fillId="0" borderId="0" xfId="0" applyNumberFormat="1" applyFont="1" applyFill="1"/>
    <xf numFmtId="44" fontId="3" fillId="0" borderId="0" xfId="16" applyFont="1" applyFill="1"/>
    <xf numFmtId="44" fontId="3" fillId="0" borderId="0" xfId="18" applyNumberFormat="1" applyFont="1" applyFill="1"/>
    <xf numFmtId="43" fontId="3" fillId="0" borderId="0" xfId="18" applyFont="1" applyFill="1"/>
    <xf numFmtId="164" fontId="3" fillId="0" borderId="0" xfId="0" applyNumberFormat="1" applyFont="1" applyFill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43" fontId="3" fillId="0" borderId="0" xfId="0" applyNumberFormat="1" applyFont="1" applyFill="1"/>
    <xf numFmtId="44" fontId="3" fillId="0" borderId="0" xfId="0" applyNumberFormat="1" applyFont="1" applyFill="1"/>
    <xf numFmtId="44" fontId="3" fillId="0" borderId="1" xfId="16" applyFont="1" applyBorder="1"/>
    <xf numFmtId="44" fontId="4" fillId="0" borderId="2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44" fontId="2" fillId="0" borderId="0" xfId="16" applyNumberFormat="1" applyFont="1" applyFill="1"/>
    <xf numFmtId="44" fontId="2" fillId="0" borderId="0" xfId="16" applyFont="1" applyFill="1"/>
    <xf numFmtId="17" fontId="2" fillId="0" borderId="0" xfId="0" applyNumberFormat="1" applyFont="1" applyFill="1"/>
    <xf numFmtId="43" fontId="2" fillId="0" borderId="0" xfId="18" applyFont="1" applyFill="1"/>
    <xf numFmtId="43" fontId="3" fillId="0" borderId="0" xfId="18" applyFont="1" applyFill="1" applyBorder="1"/>
    <xf numFmtId="10" fontId="3" fillId="0" borderId="0" xfId="15" applyNumberFormat="1" applyFont="1" applyFill="1" applyBorder="1"/>
    <xf numFmtId="44" fontId="2" fillId="0" borderId="0" xfId="18" applyNumberFormat="1" applyFont="1" applyFill="1"/>
    <xf numFmtId="44" fontId="2" fillId="0" borderId="0" xfId="0" applyNumberFormat="1" applyFont="1" applyFill="1" applyBorder="1"/>
    <xf numFmtId="43" fontId="4" fillId="0" borderId="0" xfId="0" applyNumberFormat="1" applyFont="1" applyFill="1" applyBorder="1"/>
    <xf numFmtId="44" fontId="3" fillId="4" borderId="1" xfId="18" applyNumberFormat="1" applyFont="1" applyFill="1" applyBorder="1"/>
    <xf numFmtId="44" fontId="3" fillId="0" borderId="1" xfId="18" applyNumberFormat="1" applyFont="1" applyBorder="1"/>
    <xf numFmtId="0" fontId="3" fillId="0" borderId="1" xfId="0" applyFont="1" applyFill="1" applyBorder="1"/>
    <xf numFmtId="44" fontId="2" fillId="2" borderId="0" xfId="16" applyNumberFormat="1" applyFont="1" applyFill="1" applyBorder="1"/>
    <xf numFmtId="44" fontId="2" fillId="2" borderId="0" xfId="16" applyFont="1" applyFill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4" fontId="3" fillId="0" borderId="0" xfId="16" applyFont="1" applyBorder="1"/>
    <xf numFmtId="10" fontId="3" fillId="0" borderId="0" xfId="15" applyNumberFormat="1" applyFont="1" applyBorder="1"/>
    <xf numFmtId="0" fontId="3" fillId="0" borderId="0" xfId="0" applyFont="1" applyBorder="1"/>
    <xf numFmtId="44" fontId="4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 topLeftCell="A1">
      <selection activeCell="B7" sqref="B7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5.7109375" style="16" customWidth="1"/>
    <col min="4" max="4" width="19.57421875" style="16" customWidth="1"/>
    <col min="5" max="5" width="5.7109375" style="16" customWidth="1"/>
    <col min="6" max="6" width="25.28125" style="16" customWidth="1"/>
    <col min="7" max="7" width="9.00390625" style="16" customWidth="1"/>
    <col min="8" max="8" width="19.140625" style="16" customWidth="1"/>
    <col min="9" max="9" width="28.421875" style="16" customWidth="1"/>
    <col min="10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3" ht="15.75">
      <c r="A3" s="14" t="s">
        <v>62</v>
      </c>
    </row>
    <row r="4" spans="4:9" ht="15.75">
      <c r="D4" s="14" t="s">
        <v>57</v>
      </c>
      <c r="E4" s="14"/>
      <c r="F4" s="14" t="s">
        <v>54</v>
      </c>
      <c r="G4" s="14"/>
      <c r="H4" s="60" t="s">
        <v>57</v>
      </c>
      <c r="I4" s="14" t="s">
        <v>54</v>
      </c>
    </row>
    <row r="5" spans="1:9" ht="15.75">
      <c r="A5" s="1" t="s">
        <v>33</v>
      </c>
      <c r="B5" s="2" t="s">
        <v>27</v>
      </c>
      <c r="D5" s="14" t="s">
        <v>27</v>
      </c>
      <c r="E5" s="14"/>
      <c r="F5" s="14" t="s">
        <v>55</v>
      </c>
      <c r="G5" s="14"/>
      <c r="H5" s="60" t="s">
        <v>27</v>
      </c>
      <c r="I5" s="14" t="s">
        <v>58</v>
      </c>
    </row>
    <row r="6" spans="2:8" ht="15.75">
      <c r="B6" s="3" t="s">
        <v>28</v>
      </c>
      <c r="D6" s="3" t="s">
        <v>28</v>
      </c>
      <c r="E6" s="3"/>
      <c r="H6" s="61" t="s">
        <v>28</v>
      </c>
    </row>
    <row r="7" spans="1:8" ht="15.75">
      <c r="A7" s="4" t="s">
        <v>0</v>
      </c>
      <c r="B7" s="5">
        <v>89209</v>
      </c>
      <c r="D7" s="5">
        <v>89209</v>
      </c>
      <c r="E7" s="5"/>
      <c r="H7" s="5">
        <v>89209</v>
      </c>
    </row>
    <row r="8" spans="1:5" ht="15.75">
      <c r="A8" s="4"/>
      <c r="B8" s="5"/>
      <c r="D8" s="5"/>
      <c r="E8" s="5"/>
    </row>
    <row r="9" spans="1:8" ht="15.75">
      <c r="A9" s="6" t="s">
        <v>1</v>
      </c>
      <c r="B9" s="3" t="s">
        <v>28</v>
      </c>
      <c r="D9" s="3" t="s">
        <v>28</v>
      </c>
      <c r="E9" s="3"/>
      <c r="H9" s="3" t="s">
        <v>28</v>
      </c>
    </row>
    <row r="10" spans="1:8" ht="15.75">
      <c r="A10" s="4" t="s">
        <v>2</v>
      </c>
      <c r="B10" s="18">
        <v>436325.39</v>
      </c>
      <c r="D10" s="18">
        <f>436325.39+4316.57</f>
        <v>440641.96</v>
      </c>
      <c r="E10" s="33"/>
      <c r="F10" s="12">
        <v>4316.57</v>
      </c>
      <c r="G10" s="36">
        <v>1</v>
      </c>
      <c r="H10" s="18">
        <f>436325.39+4316.57</f>
        <v>440641.96</v>
      </c>
    </row>
    <row r="11" spans="1:8" ht="15.75">
      <c r="A11" s="4" t="s">
        <v>3</v>
      </c>
      <c r="B11" s="7">
        <f>364694.45</f>
        <v>364694.45</v>
      </c>
      <c r="D11" s="7">
        <f>364694.45</f>
        <v>364694.45</v>
      </c>
      <c r="E11" s="34"/>
      <c r="H11" s="7">
        <f>364694.45</f>
        <v>364694.45</v>
      </c>
    </row>
    <row r="12" spans="1:8" ht="15.75">
      <c r="A12" s="4" t="s">
        <v>4</v>
      </c>
      <c r="B12" s="7">
        <v>155236.71</v>
      </c>
      <c r="D12" s="7">
        <f>155236.71+F12</f>
        <v>155582.78999999998</v>
      </c>
      <c r="E12" s="34"/>
      <c r="F12" s="32">
        <v>346.08</v>
      </c>
      <c r="G12" s="36">
        <v>2</v>
      </c>
      <c r="H12" s="7">
        <v>155582.79</v>
      </c>
    </row>
    <row r="13" spans="1:8" ht="15.75">
      <c r="A13" s="4" t="s">
        <v>5</v>
      </c>
      <c r="B13" s="19">
        <f>12796.65+21237.54</f>
        <v>34034.19</v>
      </c>
      <c r="D13" s="19">
        <f>12796.65+21237.54+F13</f>
        <v>1686.8400000000038</v>
      </c>
      <c r="E13" s="50"/>
      <c r="F13" s="42">
        <v>-32347.35</v>
      </c>
      <c r="G13" s="36">
        <v>3</v>
      </c>
      <c r="H13" s="19">
        <v>1686.84</v>
      </c>
    </row>
    <row r="14" spans="1:8" ht="15.75">
      <c r="A14" s="6" t="s">
        <v>6</v>
      </c>
      <c r="B14" s="17">
        <f>SUM(B10:B13)</f>
        <v>990290.74</v>
      </c>
      <c r="D14" s="17">
        <f>SUM(D10:D13)</f>
        <v>962606.0399999999</v>
      </c>
      <c r="E14" s="46"/>
      <c r="F14" s="23">
        <f>SUM(F10:F13)</f>
        <v>-27684.699999999997</v>
      </c>
      <c r="H14" s="17">
        <f>SUM(H10:H13)</f>
        <v>962606.04</v>
      </c>
    </row>
    <row r="15" spans="1:8" ht="15.75">
      <c r="A15" s="6" t="s">
        <v>7</v>
      </c>
      <c r="B15" s="8">
        <f>B14/B7</f>
        <v>11.10079409028237</v>
      </c>
      <c r="D15" s="8">
        <f>D14/D7</f>
        <v>10.790458810209731</v>
      </c>
      <c r="E15" s="47"/>
      <c r="H15" s="8">
        <f>H14/H7</f>
        <v>10.790458810209733</v>
      </c>
    </row>
    <row r="16" spans="1:8" ht="15.75">
      <c r="A16" s="4"/>
      <c r="B16" s="9"/>
      <c r="D16" s="9"/>
      <c r="E16" s="35"/>
      <c r="H16" s="9"/>
    </row>
    <row r="17" spans="1:8" ht="15.75">
      <c r="A17" s="6" t="s">
        <v>51</v>
      </c>
      <c r="B17" s="3" t="str">
        <f>B6</f>
        <v>08/20 - 08/31</v>
      </c>
      <c r="D17" s="3" t="s">
        <v>28</v>
      </c>
      <c r="E17" s="48"/>
      <c r="F17" s="9"/>
      <c r="H17" s="3" t="s">
        <v>28</v>
      </c>
    </row>
    <row r="18" spans="1:11" ht="15.75">
      <c r="A18" s="4" t="s">
        <v>51</v>
      </c>
      <c r="B18" s="45">
        <v>0</v>
      </c>
      <c r="D18" s="55">
        <v>14554</v>
      </c>
      <c r="E18" s="33"/>
      <c r="F18" s="45"/>
      <c r="H18" s="55">
        <v>12946.36</v>
      </c>
      <c r="I18" s="62">
        <f>12946.36-14554</f>
        <v>-1607.6399999999994</v>
      </c>
      <c r="J18" s="38"/>
      <c r="K18" s="38"/>
    </row>
    <row r="19" spans="1:11" ht="15.75">
      <c r="A19" s="6" t="s">
        <v>52</v>
      </c>
      <c r="B19" s="58">
        <f>SUM(B18)</f>
        <v>0</v>
      </c>
      <c r="D19" s="59">
        <f>SUM(D18)</f>
        <v>14554</v>
      </c>
      <c r="E19" s="47"/>
      <c r="F19" s="47">
        <v>14554</v>
      </c>
      <c r="G19" s="39">
        <v>4</v>
      </c>
      <c r="H19" s="59">
        <f>SUM(H18)</f>
        <v>12946.36</v>
      </c>
      <c r="I19" s="26">
        <f>SUM(I18)</f>
        <v>-1607.6399999999994</v>
      </c>
      <c r="J19" s="36">
        <v>1</v>
      </c>
      <c r="K19" s="38"/>
    </row>
    <row r="20" spans="1:11" ht="15.75">
      <c r="A20" s="6" t="s">
        <v>53</v>
      </c>
      <c r="B20" s="8">
        <f>B19/B7</f>
        <v>0</v>
      </c>
      <c r="D20" s="8">
        <f>D19/D7</f>
        <v>0.16314497416179982</v>
      </c>
      <c r="E20" s="47"/>
      <c r="F20" s="13"/>
      <c r="G20" s="38"/>
      <c r="H20" s="8">
        <f>H19/H7</f>
        <v>0.14512392247418984</v>
      </c>
      <c r="I20" s="38"/>
      <c r="J20" s="38"/>
      <c r="K20" s="38"/>
    </row>
    <row r="21" spans="1:8" ht="15.75">
      <c r="A21" s="4"/>
      <c r="B21" s="9"/>
      <c r="D21" s="9"/>
      <c r="E21" s="35"/>
      <c r="H21" s="9"/>
    </row>
    <row r="22" spans="1:8" ht="15.75">
      <c r="A22" s="10" t="s">
        <v>8</v>
      </c>
      <c r="B22" s="3" t="s">
        <v>28</v>
      </c>
      <c r="D22" s="3" t="s">
        <v>28</v>
      </c>
      <c r="E22" s="48"/>
      <c r="H22" s="3" t="s">
        <v>28</v>
      </c>
    </row>
    <row r="23" spans="1:8" ht="15.75">
      <c r="A23" s="4" t="s">
        <v>9</v>
      </c>
      <c r="B23" s="11">
        <v>42134.85</v>
      </c>
      <c r="D23" s="11">
        <v>42134.85</v>
      </c>
      <c r="E23" s="31"/>
      <c r="H23" s="11">
        <v>42134.85</v>
      </c>
    </row>
    <row r="24" spans="1:8" ht="15.75">
      <c r="A24" s="4" t="s">
        <v>10</v>
      </c>
      <c r="B24" s="12">
        <v>2333095.13</v>
      </c>
      <c r="D24" s="12">
        <v>2333095.13</v>
      </c>
      <c r="E24" s="32"/>
      <c r="H24" s="12">
        <v>2333095.13</v>
      </c>
    </row>
    <row r="25" spans="1:8" ht="15.75">
      <c r="A25" s="4" t="s">
        <v>11</v>
      </c>
      <c r="B25" s="13">
        <f aca="true" t="shared" si="0" ref="B25:D25">B24/B7</f>
        <v>26.153136230649373</v>
      </c>
      <c r="D25" s="13">
        <f t="shared" si="0"/>
        <v>26.153136230649373</v>
      </c>
      <c r="E25" s="41"/>
      <c r="H25" s="13">
        <f aca="true" t="shared" si="1" ref="H25">H24/H7</f>
        <v>26.153136230649373</v>
      </c>
    </row>
    <row r="26" spans="1:8" ht="15.75">
      <c r="A26" s="4" t="s">
        <v>12</v>
      </c>
      <c r="B26" s="13">
        <v>2.4</v>
      </c>
      <c r="D26" s="13">
        <v>2.4</v>
      </c>
      <c r="E26" s="41"/>
      <c r="H26" s="13">
        <v>2.4</v>
      </c>
    </row>
    <row r="27" spans="1:8" ht="15.75">
      <c r="A27" s="4" t="s">
        <v>29</v>
      </c>
      <c r="B27" s="13">
        <v>1652.5</v>
      </c>
      <c r="D27" s="13">
        <v>1652.5</v>
      </c>
      <c r="E27" s="41"/>
      <c r="H27" s="13">
        <v>1652.5</v>
      </c>
    </row>
    <row r="28" spans="1:8" ht="15.75">
      <c r="A28" s="4" t="s">
        <v>13</v>
      </c>
      <c r="B28" s="12">
        <v>8908.13</v>
      </c>
      <c r="D28" s="12">
        <v>8908.13</v>
      </c>
      <c r="E28" s="32"/>
      <c r="H28" s="12">
        <v>8908.13</v>
      </c>
    </row>
    <row r="29" spans="1:8" ht="15.75">
      <c r="A29" s="4" t="s">
        <v>14</v>
      </c>
      <c r="B29" s="12">
        <f>B28/B7</f>
        <v>0.09985685300810455</v>
      </c>
      <c r="D29" s="12">
        <f>D28/D7</f>
        <v>0.09985685300810455</v>
      </c>
      <c r="E29" s="32"/>
      <c r="H29" s="12">
        <f>H28/H7</f>
        <v>0.09985685300810455</v>
      </c>
    </row>
    <row r="30" spans="1:8" ht="15.75">
      <c r="A30" s="4" t="s">
        <v>30</v>
      </c>
      <c r="B30" s="12">
        <v>3736</v>
      </c>
      <c r="D30" s="12">
        <v>3736</v>
      </c>
      <c r="E30" s="32"/>
      <c r="H30" s="12">
        <v>3736</v>
      </c>
    </row>
    <row r="31" spans="1:8" ht="15.75">
      <c r="A31" s="4" t="s">
        <v>31</v>
      </c>
      <c r="B31" s="12">
        <v>48019.18</v>
      </c>
      <c r="D31" s="12">
        <v>48019.18</v>
      </c>
      <c r="E31" s="32"/>
      <c r="H31" s="12">
        <v>48019.18</v>
      </c>
    </row>
    <row r="32" spans="1:8" ht="15.75">
      <c r="A32" s="4" t="s">
        <v>32</v>
      </c>
      <c r="B32" s="12">
        <f>B31/B7</f>
        <v>0.538277303859476</v>
      </c>
      <c r="D32" s="12">
        <f>D31/D7</f>
        <v>0.538277303859476</v>
      </c>
      <c r="E32" s="32"/>
      <c r="H32" s="12">
        <f>H31/H7</f>
        <v>0.538277303859476</v>
      </c>
    </row>
    <row r="33" spans="1:8" ht="15.75">
      <c r="A33" s="4" t="s">
        <v>15</v>
      </c>
      <c r="B33" s="18">
        <v>58644.59</v>
      </c>
      <c r="D33" s="18">
        <v>58644.59</v>
      </c>
      <c r="E33" s="33"/>
      <c r="H33" s="18">
        <v>58644.59</v>
      </c>
    </row>
    <row r="34" spans="1:9" ht="15.75">
      <c r="A34" s="4" t="s">
        <v>16</v>
      </c>
      <c r="B34" s="18">
        <f>B33/B7</f>
        <v>0.6573842325325919</v>
      </c>
      <c r="D34" s="18">
        <f>D33/D7</f>
        <v>0.6573842325325919</v>
      </c>
      <c r="E34" s="33"/>
      <c r="F34" s="35"/>
      <c r="G34" s="38"/>
      <c r="H34" s="18">
        <f>H33/H7</f>
        <v>0.6573842325325919</v>
      </c>
      <c r="I34" s="38"/>
    </row>
    <row r="35" spans="1:9" ht="15.75">
      <c r="A35" s="14" t="s">
        <v>17</v>
      </c>
      <c r="B35" s="18">
        <v>0</v>
      </c>
      <c r="D35" s="30">
        <v>11618.56</v>
      </c>
      <c r="E35" s="33"/>
      <c r="F35" s="12">
        <v>11618.56</v>
      </c>
      <c r="G35" s="39">
        <v>5</v>
      </c>
      <c r="H35" s="30">
        <v>11618.56</v>
      </c>
      <c r="I35" s="38"/>
    </row>
    <row r="36" spans="1:9" ht="15.75">
      <c r="A36" s="4" t="s">
        <v>18</v>
      </c>
      <c r="B36" s="56">
        <v>0</v>
      </c>
      <c r="D36" s="55">
        <f>D35/D7</f>
        <v>0.1302397740138327</v>
      </c>
      <c r="E36" s="33"/>
      <c r="F36" s="57"/>
      <c r="G36" s="38"/>
      <c r="H36" s="55">
        <f>H35/H7</f>
        <v>0.1302397740138327</v>
      </c>
      <c r="I36" s="38"/>
    </row>
    <row r="37" spans="1:8" ht="15.75">
      <c r="A37" s="10" t="s">
        <v>19</v>
      </c>
      <c r="B37" s="15">
        <f>B24+B28+B31+B33+B35</f>
        <v>2448667.03</v>
      </c>
      <c r="D37" s="15">
        <f>D24+D28+D31+D33+D35</f>
        <v>2460285.59</v>
      </c>
      <c r="E37" s="49"/>
      <c r="F37" s="47">
        <f>SUM(F23:F36)</f>
        <v>11618.56</v>
      </c>
      <c r="H37" s="15">
        <f>H24+H28+H31+H33+H35</f>
        <v>2460285.59</v>
      </c>
    </row>
    <row r="38" spans="1:8" ht="15.75">
      <c r="A38" s="10" t="s">
        <v>20</v>
      </c>
      <c r="B38" s="15">
        <f>B37/B7</f>
        <v>27.448654620049545</v>
      </c>
      <c r="D38" s="15">
        <f>D37/D7</f>
        <v>27.57889439406338</v>
      </c>
      <c r="E38" s="49"/>
      <c r="H38" s="15">
        <f>H37/H7</f>
        <v>27.57889439406338</v>
      </c>
    </row>
    <row r="39" spans="1:8" ht="15.75">
      <c r="A39" s="4"/>
      <c r="B39" s="9"/>
      <c r="D39" s="9"/>
      <c r="E39" s="35"/>
      <c r="H39" s="9"/>
    </row>
    <row r="40" spans="1:8" ht="15.75">
      <c r="A40" s="4"/>
      <c r="B40" s="9"/>
      <c r="D40" s="9"/>
      <c r="E40" s="35"/>
      <c r="H40" s="9"/>
    </row>
    <row r="41" spans="1:8" ht="15.75">
      <c r="A41" s="4"/>
      <c r="B41" s="3" t="s">
        <v>28</v>
      </c>
      <c r="D41" s="3" t="s">
        <v>28</v>
      </c>
      <c r="E41" s="48"/>
      <c r="H41" s="3" t="s">
        <v>28</v>
      </c>
    </row>
    <row r="42" spans="1:8" ht="15.75">
      <c r="A42" s="4" t="s">
        <v>21</v>
      </c>
      <c r="B42" s="7">
        <v>7182778.12</v>
      </c>
      <c r="D42" s="7">
        <v>7182778.12</v>
      </c>
      <c r="E42" s="34"/>
      <c r="F42" s="38"/>
      <c r="G42" s="38"/>
      <c r="H42" s="7">
        <v>7182778.12</v>
      </c>
    </row>
    <row r="43" spans="1:8" ht="15.75">
      <c r="A43" s="4" t="s">
        <v>22</v>
      </c>
      <c r="B43" s="7">
        <v>6791303.59</v>
      </c>
      <c r="D43" s="7">
        <v>1629029.59</v>
      </c>
      <c r="E43" s="34"/>
      <c r="F43" s="40">
        <f>D43-B43</f>
        <v>-5162274</v>
      </c>
      <c r="G43" s="39">
        <v>6</v>
      </c>
      <c r="H43" s="7">
        <v>1629029.59</v>
      </c>
    </row>
    <row r="44" spans="1:8" ht="15.75">
      <c r="A44" s="4" t="s">
        <v>47</v>
      </c>
      <c r="B44" s="7">
        <v>177391.54</v>
      </c>
      <c r="D44" s="7">
        <v>177391.54</v>
      </c>
      <c r="E44" s="34"/>
      <c r="F44" s="38"/>
      <c r="G44" s="38"/>
      <c r="H44" s="7">
        <v>177391.54</v>
      </c>
    </row>
    <row r="45" spans="1:8" ht="15.75">
      <c r="A45" s="14" t="s">
        <v>23</v>
      </c>
      <c r="B45" s="19">
        <v>14554</v>
      </c>
      <c r="D45" s="19">
        <v>0</v>
      </c>
      <c r="E45" s="50"/>
      <c r="F45" s="40">
        <v>-14554</v>
      </c>
      <c r="G45" s="39">
        <v>7</v>
      </c>
      <c r="H45" s="19">
        <v>0</v>
      </c>
    </row>
    <row r="46" spans="1:8" ht="15.75">
      <c r="A46" s="14" t="s">
        <v>24</v>
      </c>
      <c r="B46" s="7">
        <f>SUM(B42:B45)</f>
        <v>14166027.25</v>
      </c>
      <c r="D46" s="7">
        <f>SUM(D42:D45)</f>
        <v>8989199.25</v>
      </c>
      <c r="E46" s="34"/>
      <c r="F46" s="7">
        <f>SUM(F42:F45)</f>
        <v>-5176828</v>
      </c>
      <c r="G46" s="7"/>
      <c r="H46" s="7">
        <f>SUM(H42:H45)</f>
        <v>8989199.25</v>
      </c>
    </row>
    <row r="47" spans="1:10" ht="15.75">
      <c r="A47" s="14" t="s">
        <v>25</v>
      </c>
      <c r="B47" s="22">
        <v>0.0785</v>
      </c>
      <c r="D47" s="22">
        <v>0.0785</v>
      </c>
      <c r="E47" s="51"/>
      <c r="F47" s="22">
        <v>0.0785</v>
      </c>
      <c r="G47" s="63"/>
      <c r="H47" s="22">
        <v>0.0785</v>
      </c>
      <c r="I47" s="38"/>
      <c r="J47" s="38"/>
    </row>
    <row r="48" spans="1:10" ht="15.75">
      <c r="A48" s="20" t="s">
        <v>26</v>
      </c>
      <c r="B48" s="21">
        <f>ROUND(B46*B47/365*12,2)</f>
        <v>36559.99</v>
      </c>
      <c r="D48" s="21">
        <f>ROUND(D46*D47/365*12,2)</f>
        <v>23199.52</v>
      </c>
      <c r="E48" s="52"/>
      <c r="F48" s="52">
        <f>ROUND(F46*F47/365*12,2)</f>
        <v>-13360.47</v>
      </c>
      <c r="G48" s="52"/>
      <c r="H48" s="21">
        <f>ROUND(H46*H47/365*12,2)</f>
        <v>23199.52</v>
      </c>
      <c r="I48" s="38"/>
      <c r="J48" s="38"/>
    </row>
    <row r="49" spans="1:10" ht="15.75">
      <c r="A49" s="14"/>
      <c r="B49" s="9"/>
      <c r="D49" s="9"/>
      <c r="E49" s="35"/>
      <c r="F49" s="38"/>
      <c r="G49" s="38"/>
      <c r="H49" s="9"/>
      <c r="I49" s="38"/>
      <c r="J49" s="38"/>
    </row>
    <row r="50" ht="12.75">
      <c r="E50" s="38"/>
    </row>
    <row r="51" spans="1:8" ht="15.75">
      <c r="A51" s="1" t="s">
        <v>40</v>
      </c>
      <c r="B51" s="3" t="s">
        <v>28</v>
      </c>
      <c r="D51" s="3" t="s">
        <v>28</v>
      </c>
      <c r="E51" s="48"/>
      <c r="H51" s="3" t="s">
        <v>28</v>
      </c>
    </row>
    <row r="52" spans="1:8" ht="15.75">
      <c r="A52" s="14" t="s">
        <v>37</v>
      </c>
      <c r="B52" s="3" t="s">
        <v>38</v>
      </c>
      <c r="D52" s="3" t="s">
        <v>38</v>
      </c>
      <c r="E52" s="48"/>
      <c r="H52" s="3" t="s">
        <v>38</v>
      </c>
    </row>
    <row r="53" spans="1:8" ht="15.75">
      <c r="A53" s="25" t="s">
        <v>39</v>
      </c>
      <c r="B53" s="26">
        <f>ROUND(64284.7*0.3525,2)</f>
        <v>22660.36</v>
      </c>
      <c r="D53" s="26">
        <f>ROUND(64284.7*0.3525,2)</f>
        <v>22660.36</v>
      </c>
      <c r="E53" s="26"/>
      <c r="H53" s="26">
        <f>ROUND(64284.7*0.3525,2)</f>
        <v>22660.36</v>
      </c>
    </row>
    <row r="54" spans="1:8" ht="15.75">
      <c r="A54" s="25" t="s">
        <v>36</v>
      </c>
      <c r="B54" s="26">
        <f>ROUND((2075/31)*12,2)</f>
        <v>803.23</v>
      </c>
      <c r="D54" s="26">
        <f>ROUND((2075/31)*12,2)</f>
        <v>803.23</v>
      </c>
      <c r="E54" s="26"/>
      <c r="H54" s="26">
        <f>ROUND((2075/31)*12,2)</f>
        <v>803.23</v>
      </c>
    </row>
    <row r="55" spans="1:8" ht="15.75">
      <c r="A55" s="14" t="s">
        <v>41</v>
      </c>
      <c r="B55" s="3" t="s">
        <v>38</v>
      </c>
      <c r="D55" s="3" t="s">
        <v>38</v>
      </c>
      <c r="E55" s="48"/>
      <c r="H55" s="3" t="s">
        <v>38</v>
      </c>
    </row>
    <row r="56" spans="1:10" ht="15.75">
      <c r="A56" s="25" t="s">
        <v>42</v>
      </c>
      <c r="B56" s="26">
        <v>0</v>
      </c>
      <c r="C56" s="29"/>
      <c r="D56" s="26">
        <v>0</v>
      </c>
      <c r="E56" s="26"/>
      <c r="F56" s="29"/>
      <c r="G56" s="29"/>
      <c r="H56" s="26">
        <v>0</v>
      </c>
      <c r="I56" s="29"/>
      <c r="J56" s="29" t="s">
        <v>50</v>
      </c>
    </row>
    <row r="57" spans="1:10" ht="15.75">
      <c r="A57" s="14" t="s">
        <v>43</v>
      </c>
      <c r="B57" s="23">
        <v>0</v>
      </c>
      <c r="D57" s="23">
        <v>0</v>
      </c>
      <c r="E57" s="26"/>
      <c r="H57" s="23">
        <v>0</v>
      </c>
      <c r="J57" s="16" t="s">
        <v>49</v>
      </c>
    </row>
    <row r="58" spans="1:8" ht="15.75">
      <c r="A58" s="14" t="s">
        <v>44</v>
      </c>
      <c r="B58" s="27" t="s">
        <v>38</v>
      </c>
      <c r="D58" s="27" t="s">
        <v>38</v>
      </c>
      <c r="E58" s="53"/>
      <c r="F58" s="44"/>
      <c r="G58" s="64"/>
      <c r="H58" s="27" t="s">
        <v>38</v>
      </c>
    </row>
    <row r="59" spans="1:8" ht="15.75">
      <c r="A59" s="20" t="s">
        <v>46</v>
      </c>
      <c r="B59" s="24">
        <f>SUM(B52:B58)</f>
        <v>23463.59</v>
      </c>
      <c r="D59" s="24">
        <f>SUM(D52:D58)</f>
        <v>23463.59</v>
      </c>
      <c r="E59" s="26"/>
      <c r="F59" s="26">
        <f>SUM(F51:F58)</f>
        <v>0</v>
      </c>
      <c r="G59" s="26"/>
      <c r="H59" s="24">
        <f>SUM(H52:H58)</f>
        <v>23463.59</v>
      </c>
    </row>
    <row r="60" spans="1:8" ht="15.75">
      <c r="A60" s="14"/>
      <c r="B60" s="23"/>
      <c r="D60" s="23"/>
      <c r="E60" s="26"/>
      <c r="H60" s="23"/>
    </row>
    <row r="61" spans="1:8" ht="15.75">
      <c r="A61" s="14"/>
      <c r="B61" s="23"/>
      <c r="D61" s="23"/>
      <c r="E61" s="26"/>
      <c r="H61" s="23"/>
    </row>
    <row r="62" spans="1:8" ht="15.75">
      <c r="A62" s="14"/>
      <c r="B62" s="23"/>
      <c r="D62" s="23"/>
      <c r="E62" s="26"/>
      <c r="H62" s="23"/>
    </row>
    <row r="63" spans="1:8" ht="15.75">
      <c r="A63" s="20" t="s">
        <v>45</v>
      </c>
      <c r="B63" s="24">
        <f>ROUND(46919.63/365*12,2)</f>
        <v>1542.56</v>
      </c>
      <c r="D63" s="24">
        <f>ROUND(46919.63/365*12,2)</f>
        <v>1542.56</v>
      </c>
      <c r="E63" s="26"/>
      <c r="F63" s="26">
        <f>SUM(F55:F62)</f>
        <v>0</v>
      </c>
      <c r="G63" s="26"/>
      <c r="H63" s="24">
        <f>ROUND(46919.63/365*12,2)</f>
        <v>1542.56</v>
      </c>
    </row>
    <row r="64" spans="1:8" ht="15.75">
      <c r="A64" s="14"/>
      <c r="B64" s="14"/>
      <c r="D64" s="14"/>
      <c r="E64" s="25"/>
      <c r="H64" s="14"/>
    </row>
    <row r="65" ht="12.75">
      <c r="E65" s="38"/>
    </row>
    <row r="66" ht="12.75">
      <c r="E66" s="38"/>
    </row>
    <row r="67" spans="1:13" ht="16.5" thickBot="1">
      <c r="A67" s="28" t="s">
        <v>48</v>
      </c>
      <c r="B67" s="43">
        <f>+B14+B37+B48+B59+B63</f>
        <v>3500523.9099999997</v>
      </c>
      <c r="D67" s="43">
        <f>+D14+D19+D37+D48+D59+D63</f>
        <v>3485651.3</v>
      </c>
      <c r="E67" s="54"/>
      <c r="F67" s="43">
        <f>D67-B67</f>
        <v>-14872.60999999987</v>
      </c>
      <c r="G67" s="65"/>
      <c r="H67" s="43">
        <f>+H14+H19+H37+H48+H59+H63</f>
        <v>3484043.6599999997</v>
      </c>
      <c r="I67" s="43">
        <f>H67-D67</f>
        <v>-1607.6400000001304</v>
      </c>
      <c r="J67" s="38" t="s">
        <v>56</v>
      </c>
      <c r="K67" s="38"/>
      <c r="L67" s="38"/>
      <c r="M67" s="38"/>
    </row>
    <row r="68" ht="15.75" thickTop="1">
      <c r="E68" s="38"/>
    </row>
    <row r="69" ht="12.75">
      <c r="E69" s="38"/>
    </row>
    <row r="70" spans="1:5" ht="12.75">
      <c r="A70" s="37" t="s">
        <v>59</v>
      </c>
      <c r="E70" s="38"/>
    </row>
    <row r="71" spans="1:5" ht="12.75">
      <c r="A71" s="37" t="s">
        <v>60</v>
      </c>
      <c r="E71" s="38"/>
    </row>
    <row r="72" spans="1:5" ht="12.75">
      <c r="A72" s="37" t="s">
        <v>61</v>
      </c>
      <c r="E72" s="38"/>
    </row>
    <row r="73" spans="1:5" ht="12.75">
      <c r="A73" s="37"/>
      <c r="E73" s="38"/>
    </row>
    <row r="74" spans="1:5" ht="12.75">
      <c r="A74" s="37"/>
      <c r="E74" s="38"/>
    </row>
    <row r="75" spans="1:5" ht="12.75">
      <c r="A75" s="37"/>
      <c r="E75" s="38"/>
    </row>
    <row r="76" ht="12.75">
      <c r="A76" s="37"/>
    </row>
    <row r="77" ht="12.75">
      <c r="A77" s="37"/>
    </row>
    <row r="78" spans="1:5" ht="12.75">
      <c r="A78" s="37"/>
      <c r="E78" s="38"/>
    </row>
    <row r="79" spans="1:5" ht="12.75">
      <c r="A79" s="37"/>
      <c r="E79" s="38"/>
    </row>
    <row r="80" spans="1:5" ht="12.75">
      <c r="A80" s="37"/>
      <c r="E80" s="38"/>
    </row>
    <row r="81" spans="1:5" ht="12.75">
      <c r="A81" s="37"/>
      <c r="E81" s="38"/>
    </row>
    <row r="101" ht="12.75">
      <c r="A101" s="16">
        <f>4834.54*12/31</f>
        <v>1871.4348387096773</v>
      </c>
    </row>
  </sheetData>
  <printOptions/>
  <pageMargins left="0.7" right="0.7" top="0.75" bottom="0.75" header="0.3" footer="0.3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Crowe</dc:creator>
  <cp:keywords/>
  <dc:description/>
  <cp:lastModifiedBy>David J Ashby</cp:lastModifiedBy>
  <cp:lastPrinted>2014-01-21T19:50:37Z</cp:lastPrinted>
  <dcterms:created xsi:type="dcterms:W3CDTF">2013-09-19T21:12:49Z</dcterms:created>
  <dcterms:modified xsi:type="dcterms:W3CDTF">2014-01-21T21:04:11Z</dcterms:modified>
  <cp:category/>
  <cp:version/>
  <cp:contentType/>
  <cp:contentStatus/>
</cp:coreProperties>
</file>